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Кабельная арматура\Приложение №6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закупки'!$A$5:$P$33</definedName>
    <definedName name="_xlnm.Print_Area" localSheetId="0">'Расчет НМЦ лота закупки'!$A$1:$S$33</definedName>
  </definedNames>
  <calcPr calcId="152511"/>
</workbook>
</file>

<file path=xl/calcChain.xml><?xml version="1.0" encoding="utf-8"?>
<calcChain xmlns="http://schemas.openxmlformats.org/spreadsheetml/2006/main">
  <c r="R30" i="1" l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S30" i="1" l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J24" i="1"/>
  <c r="J23" i="1"/>
  <c r="J22" i="1"/>
  <c r="J21" i="1"/>
  <c r="J20" i="1"/>
  <c r="J19" i="1"/>
  <c r="J14" i="1"/>
  <c r="J13" i="1"/>
  <c r="J8" i="1"/>
  <c r="J7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S31" i="1" l="1"/>
  <c r="S33" i="1" s="1"/>
  <c r="S32" i="1" s="1"/>
  <c r="M31" i="1"/>
  <c r="J31" i="1"/>
  <c r="P31" i="1"/>
  <c r="P33" i="1" s="1"/>
  <c r="G31" i="1"/>
  <c r="G33" i="1" l="1"/>
  <c r="G32" i="1" s="1"/>
  <c r="J33" i="1" l="1"/>
  <c r="J32" i="1" s="1"/>
  <c r="M33" i="1"/>
  <c r="M32" i="1" s="1"/>
</calcChain>
</file>

<file path=xl/sharedStrings.xml><?xml version="1.0" encoding="utf-8"?>
<sst xmlns="http://schemas.openxmlformats.org/spreadsheetml/2006/main" count="96" uniqueCount="45">
  <si>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</si>
  <si>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</si>
  <si>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</si>
  <si>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</si>
  <si>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</si>
  <si>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</si>
  <si>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</si>
  <si>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шт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</si>
  <si>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</si>
  <si>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</si>
  <si>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</si>
  <si>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</si>
  <si>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</si>
  <si>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</si>
  <si>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</si>
  <si>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 xml:space="preserve">КП №2 </t>
  </si>
  <si>
    <t xml:space="preserve">КП №3 </t>
  </si>
  <si>
    <t>Расчет начальной максимальной цены лота/закупки (Лот 401Т )</t>
  </si>
  <si>
    <t>Бирка для кабеля до 1КВ У-134</t>
  </si>
  <si>
    <t>уп</t>
  </si>
  <si>
    <t>Бирка для контрольного кабеля У-136</t>
  </si>
  <si>
    <t>Зажим ЗН24-4 И16-в/в УЗ</t>
  </si>
  <si>
    <t>Зажим ЗН24-4П16-В/В</t>
  </si>
  <si>
    <t>Стяжка кабельная 3,2х100</t>
  </si>
  <si>
    <t>Стяжка кабельная 3,0х200</t>
  </si>
  <si>
    <t>Стяжка кабельная 3,5х200</t>
  </si>
  <si>
    <t>Стяжка кабельная 3,6х150</t>
  </si>
  <si>
    <t>Стяжка кабельная 3,6х250</t>
  </si>
  <si>
    <t>Стяжка кабельная 4,8х250</t>
  </si>
  <si>
    <t>-</t>
  </si>
  <si>
    <t>Стяжка нейлоновая КСС 9х1020 чернвая</t>
  </si>
  <si>
    <t>Хомут для СИП ХС-260</t>
  </si>
  <si>
    <t>Наконечник ТА 70-10-12</t>
  </si>
  <si>
    <t>Наконечник ТА 16-8-5,4</t>
  </si>
  <si>
    <t>Наконечник ТА 50-10-9</t>
  </si>
  <si>
    <t>Наконечник ТМЛ-4-6-3</t>
  </si>
  <si>
    <t>Наконечник ТА 35-10-8</t>
  </si>
  <si>
    <t>Лента сигнальная ЛСЭ-150</t>
  </si>
  <si>
    <t>м</t>
  </si>
  <si>
    <t>Наконечник DL-50</t>
  </si>
  <si>
    <t>Наконечник изолированный тех КН35</t>
  </si>
  <si>
    <t>Наконечник изолированный тех КН50</t>
  </si>
  <si>
    <t>Наконечник ТМЛ 6-6-4</t>
  </si>
  <si>
    <t>Сальник МG 63 IP68</t>
  </si>
  <si>
    <t>Наконечник ТА 10-8-4,5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</si>
</sst>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view="pageBreakPreview" zoomScale="80" zoomScaleNormal="112" zoomScaleSheetLayoutView="80" workbookViewId="0">
      <selection activeCell="N24" sqref="N24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38.140625" style="4" customWidth="1"/>
    <col min="4" max="4" width="4.42578125" style="1" bestFit="1" customWidth="1"/>
    <col min="5" max="5" width="6.570312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6.85546875" style="1" customWidth="1"/>
    <col min="15" max="15" width="15.28515625" style="1" customWidth="1"/>
    <col min="16" max="16" width="16.42578125" style="1" customWidth="1"/>
    <col min="17" max="17" width="7" style="12" customWidth="1"/>
    <col min="18" max="18" width="12.28515625" style="12" customWidth="1"/>
    <col min="19" max="19" width="13.5703125" style="12" customWidth="1"/>
    <col min="20" max="16384" width="9.140625" style="1"/>
  </cols>
  <sheetData>
    <row r="1" spans="1:19" x14ac:dyDescent="0.25">
      <c r="S1" s="15" t="s">
        <v>13</v>
      </c>
    </row>
    <row r="2" spans="1:19" s="3" customFormat="1" ht="27.75" customHeight="1" x14ac:dyDescent="0.2">
      <c r="A2" s="35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x14ac:dyDescent="0.25">
      <c r="B3" s="5"/>
      <c r="C3" s="6"/>
    </row>
    <row r="4" spans="1:19" ht="15.75" customHeight="1" x14ac:dyDescent="0.25">
      <c r="A4" s="36" t="s">
        <v>2</v>
      </c>
      <c r="B4" s="28" t="s">
        <v>6</v>
      </c>
      <c r="C4" s="28" t="s">
        <v>0</v>
      </c>
      <c r="D4" s="28" t="s">
        <v>1</v>
      </c>
      <c r="E4" s="26" t="s">
        <v>9</v>
      </c>
      <c r="F4" s="34"/>
      <c r="G4" s="27"/>
      <c r="H4" s="31" t="s">
        <v>12</v>
      </c>
      <c r="I4" s="32"/>
      <c r="J4" s="33"/>
      <c r="K4" s="30" t="s">
        <v>14</v>
      </c>
      <c r="L4" s="30"/>
      <c r="M4" s="30"/>
      <c r="N4" s="30" t="s">
        <v>15</v>
      </c>
      <c r="O4" s="30"/>
      <c r="P4" s="30"/>
      <c r="Q4" s="30" t="s">
        <v>16</v>
      </c>
      <c r="R4" s="30"/>
      <c r="S4" s="30"/>
    </row>
    <row r="5" spans="1:19" s="3" customFormat="1" ht="31.5" customHeight="1" x14ac:dyDescent="0.25">
      <c r="A5" s="36"/>
      <c r="B5" s="28"/>
      <c r="C5" s="28"/>
      <c r="D5" s="28"/>
      <c r="E5" s="23" t="s">
        <v>4</v>
      </c>
      <c r="F5" s="23" t="s">
        <v>5</v>
      </c>
      <c r="G5" s="23" t="s">
        <v>8</v>
      </c>
      <c r="H5" s="23" t="s">
        <v>4</v>
      </c>
      <c r="I5" s="7" t="s">
        <v>5</v>
      </c>
      <c r="J5" s="23" t="s">
        <v>8</v>
      </c>
      <c r="K5" s="23" t="s">
        <v>4</v>
      </c>
      <c r="L5" s="23" t="s">
        <v>5</v>
      </c>
      <c r="M5" s="23" t="s">
        <v>8</v>
      </c>
      <c r="N5" s="23" t="s">
        <v>4</v>
      </c>
      <c r="O5" s="23" t="s">
        <v>5</v>
      </c>
      <c r="P5" s="23" t="s">
        <v>8</v>
      </c>
      <c r="Q5" s="23" t="s">
        <v>4</v>
      </c>
      <c r="R5" s="23" t="s">
        <v>5</v>
      </c>
      <c r="S5" s="23" t="s">
        <v>8</v>
      </c>
    </row>
    <row r="6" spans="1:19" s="3" customFormat="1" ht="15.75" customHeight="1" x14ac:dyDescent="0.25">
      <c r="A6" s="25">
        <v>1</v>
      </c>
      <c r="B6" s="16">
        <v>2361481</v>
      </c>
      <c r="C6" s="16" t="s">
        <v>18</v>
      </c>
      <c r="D6" s="16" t="s">
        <v>19</v>
      </c>
      <c r="E6" s="16">
        <v>6</v>
      </c>
      <c r="F6" s="17">
        <v>140.94</v>
      </c>
      <c r="G6" s="17">
        <f>E6*F6</f>
        <v>845.64</v>
      </c>
      <c r="H6" s="16">
        <v>6</v>
      </c>
      <c r="I6" s="17" t="s">
        <v>29</v>
      </c>
      <c r="J6" s="17">
        <v>0</v>
      </c>
      <c r="K6" s="16">
        <v>6</v>
      </c>
      <c r="L6" s="17">
        <v>140.94</v>
      </c>
      <c r="M6" s="17">
        <f>K6*L6</f>
        <v>845.64</v>
      </c>
      <c r="N6" s="16">
        <v>6</v>
      </c>
      <c r="O6" s="17">
        <f>172.46/1.2</f>
        <v>143.71666666666667</v>
      </c>
      <c r="P6" s="17">
        <f>O6*N6</f>
        <v>862.3</v>
      </c>
      <c r="Q6" s="16">
        <v>6</v>
      </c>
      <c r="R6" s="17">
        <f>174.2/1.2</f>
        <v>145.16666666666666</v>
      </c>
      <c r="S6" s="17">
        <f>Q6*R6</f>
        <v>871</v>
      </c>
    </row>
    <row r="7" spans="1:19" s="3" customFormat="1" ht="15.75" customHeight="1" x14ac:dyDescent="0.25">
      <c r="A7" s="25">
        <v>2</v>
      </c>
      <c r="B7" s="16">
        <v>2216630</v>
      </c>
      <c r="C7" s="16" t="s">
        <v>18</v>
      </c>
      <c r="D7" s="16" t="s">
        <v>7</v>
      </c>
      <c r="E7" s="16">
        <v>1740</v>
      </c>
      <c r="F7" s="17">
        <v>1.45</v>
      </c>
      <c r="G7" s="17">
        <f t="shared" ref="G7:G30" si="0">E7*F7</f>
        <v>2523</v>
      </c>
      <c r="H7" s="16">
        <v>1740</v>
      </c>
      <c r="I7" s="17">
        <v>3.47</v>
      </c>
      <c r="J7" s="17">
        <f t="shared" ref="J7:J24" si="1">H7*I7</f>
        <v>6037.8</v>
      </c>
      <c r="K7" s="16">
        <v>1740</v>
      </c>
      <c r="L7" s="17">
        <v>1.45</v>
      </c>
      <c r="M7" s="17">
        <f t="shared" ref="M7:M30" si="2">K7*L7</f>
        <v>2523</v>
      </c>
      <c r="N7" s="16">
        <v>1740</v>
      </c>
      <c r="O7" s="17">
        <f>1.77/1.2</f>
        <v>1.4750000000000001</v>
      </c>
      <c r="P7" s="17">
        <f t="shared" ref="P7:P30" si="3">O7*N7</f>
        <v>2566.5</v>
      </c>
      <c r="Q7" s="16">
        <v>1740</v>
      </c>
      <c r="R7" s="17">
        <f>1.79/1.2</f>
        <v>1.4916666666666667</v>
      </c>
      <c r="S7" s="17">
        <f t="shared" ref="S7:S30" si="4">Q7*R7</f>
        <v>2595.5</v>
      </c>
    </row>
    <row r="8" spans="1:19" s="3" customFormat="1" ht="15.75" customHeight="1" x14ac:dyDescent="0.25">
      <c r="A8" s="25">
        <v>3</v>
      </c>
      <c r="B8" s="16">
        <v>2216704</v>
      </c>
      <c r="C8" s="16" t="s">
        <v>20</v>
      </c>
      <c r="D8" s="16" t="s">
        <v>7</v>
      </c>
      <c r="E8" s="16">
        <v>765</v>
      </c>
      <c r="F8" s="17">
        <v>1.31</v>
      </c>
      <c r="G8" s="17">
        <f t="shared" si="0"/>
        <v>1002.1500000000001</v>
      </c>
      <c r="H8" s="16">
        <v>765</v>
      </c>
      <c r="I8" s="17">
        <v>4.3499999999999996</v>
      </c>
      <c r="J8" s="17">
        <f t="shared" si="1"/>
        <v>3327.7499999999995</v>
      </c>
      <c r="K8" s="16">
        <v>765</v>
      </c>
      <c r="L8" s="17">
        <v>1.31</v>
      </c>
      <c r="M8" s="17">
        <f t="shared" si="2"/>
        <v>1002.1500000000001</v>
      </c>
      <c r="N8" s="16">
        <v>765</v>
      </c>
      <c r="O8" s="17">
        <f>1.6/1.2</f>
        <v>1.3333333333333335</v>
      </c>
      <c r="P8" s="17">
        <f t="shared" si="3"/>
        <v>1020.0000000000001</v>
      </c>
      <c r="Q8" s="16">
        <v>765</v>
      </c>
      <c r="R8" s="17">
        <f>1.62/1.2</f>
        <v>1.35</v>
      </c>
      <c r="S8" s="17">
        <f t="shared" si="4"/>
        <v>1032.75</v>
      </c>
    </row>
    <row r="9" spans="1:19" s="3" customFormat="1" ht="15.75" customHeight="1" x14ac:dyDescent="0.25">
      <c r="A9" s="25">
        <v>4</v>
      </c>
      <c r="B9" s="16">
        <v>2264787</v>
      </c>
      <c r="C9" s="16" t="s">
        <v>21</v>
      </c>
      <c r="D9" s="16" t="s">
        <v>7</v>
      </c>
      <c r="E9" s="16">
        <v>1305</v>
      </c>
      <c r="F9" s="17">
        <v>71.83</v>
      </c>
      <c r="G9" s="17">
        <f t="shared" si="0"/>
        <v>93738.15</v>
      </c>
      <c r="H9" s="16">
        <v>1305</v>
      </c>
      <c r="I9" s="17" t="s">
        <v>29</v>
      </c>
      <c r="J9" s="17">
        <v>0</v>
      </c>
      <c r="K9" s="16">
        <v>1305</v>
      </c>
      <c r="L9" s="17">
        <v>71.83</v>
      </c>
      <c r="M9" s="17">
        <f t="shared" si="2"/>
        <v>93738.15</v>
      </c>
      <c r="N9" s="16">
        <v>1305</v>
      </c>
      <c r="O9" s="17">
        <f>87.89/1.2</f>
        <v>73.241666666666674</v>
      </c>
      <c r="P9" s="17">
        <f t="shared" si="3"/>
        <v>95580.375000000015</v>
      </c>
      <c r="Q9" s="16">
        <v>1305</v>
      </c>
      <c r="R9" s="17">
        <f>88.78/1.2</f>
        <v>73.983333333333334</v>
      </c>
      <c r="S9" s="17">
        <f t="shared" si="4"/>
        <v>96548.25</v>
      </c>
    </row>
    <row r="10" spans="1:19" s="3" customFormat="1" ht="15.75" customHeight="1" x14ac:dyDescent="0.25">
      <c r="A10" s="25">
        <v>5</v>
      </c>
      <c r="B10" s="16">
        <v>2324909</v>
      </c>
      <c r="C10" s="16" t="s">
        <v>22</v>
      </c>
      <c r="D10" s="16" t="s">
        <v>7</v>
      </c>
      <c r="E10" s="16">
        <v>1620</v>
      </c>
      <c r="F10" s="17">
        <v>17.329999999999998</v>
      </c>
      <c r="G10" s="17">
        <f t="shared" si="0"/>
        <v>28074.6</v>
      </c>
      <c r="H10" s="16">
        <v>1620</v>
      </c>
      <c r="I10" s="17" t="s">
        <v>29</v>
      </c>
      <c r="J10" s="17">
        <v>0</v>
      </c>
      <c r="K10" s="16">
        <v>1620</v>
      </c>
      <c r="L10" s="17">
        <v>17.329999999999998</v>
      </c>
      <c r="M10" s="17">
        <f t="shared" si="2"/>
        <v>28074.6</v>
      </c>
      <c r="N10" s="16">
        <v>1620</v>
      </c>
      <c r="O10" s="17">
        <f>21.21/1.2</f>
        <v>17.675000000000001</v>
      </c>
      <c r="P10" s="17">
        <f t="shared" si="3"/>
        <v>28633.5</v>
      </c>
      <c r="Q10" s="16">
        <v>1620</v>
      </c>
      <c r="R10" s="17">
        <f>21.42/1.2</f>
        <v>17.850000000000001</v>
      </c>
      <c r="S10" s="17">
        <f t="shared" si="4"/>
        <v>28917.000000000004</v>
      </c>
    </row>
    <row r="11" spans="1:19" s="3" customFormat="1" ht="15.75" customHeight="1" x14ac:dyDescent="0.25">
      <c r="A11" s="25">
        <v>6</v>
      </c>
      <c r="B11" s="16">
        <v>2264413</v>
      </c>
      <c r="C11" s="16" t="s">
        <v>23</v>
      </c>
      <c r="D11" s="16" t="s">
        <v>7</v>
      </c>
      <c r="E11" s="16">
        <v>1560</v>
      </c>
      <c r="F11" s="17">
        <v>0.26</v>
      </c>
      <c r="G11" s="17">
        <f t="shared" si="0"/>
        <v>405.6</v>
      </c>
      <c r="H11" s="16">
        <v>1560</v>
      </c>
      <c r="I11" s="17" t="s">
        <v>29</v>
      </c>
      <c r="J11" s="17">
        <v>0</v>
      </c>
      <c r="K11" s="16">
        <v>1560</v>
      </c>
      <c r="L11" s="17">
        <v>0.26</v>
      </c>
      <c r="M11" s="17">
        <f t="shared" si="2"/>
        <v>405.6</v>
      </c>
      <c r="N11" s="16">
        <v>1560</v>
      </c>
      <c r="O11" s="17">
        <f>0.32/1.2</f>
        <v>0.26666666666666666</v>
      </c>
      <c r="P11" s="17">
        <f t="shared" si="3"/>
        <v>416</v>
      </c>
      <c r="Q11" s="16">
        <v>1560</v>
      </c>
      <c r="R11" s="17">
        <f>0.32/1.2</f>
        <v>0.26666666666666666</v>
      </c>
      <c r="S11" s="17">
        <f t="shared" si="4"/>
        <v>416</v>
      </c>
    </row>
    <row r="12" spans="1:19" s="3" customFormat="1" ht="15.75" customHeight="1" x14ac:dyDescent="0.25">
      <c r="A12" s="25">
        <v>7</v>
      </c>
      <c r="B12" s="16">
        <v>2266176</v>
      </c>
      <c r="C12" s="16" t="s">
        <v>24</v>
      </c>
      <c r="D12" s="16" t="s">
        <v>7</v>
      </c>
      <c r="E12" s="16">
        <v>600</v>
      </c>
      <c r="F12" s="17">
        <v>0.53</v>
      </c>
      <c r="G12" s="17">
        <f t="shared" si="0"/>
        <v>318</v>
      </c>
      <c r="H12" s="16">
        <v>600</v>
      </c>
      <c r="I12" s="17" t="s">
        <v>29</v>
      </c>
      <c r="J12" s="17">
        <v>0</v>
      </c>
      <c r="K12" s="16">
        <v>600</v>
      </c>
      <c r="L12" s="17">
        <v>0.53</v>
      </c>
      <c r="M12" s="17">
        <f t="shared" si="2"/>
        <v>318</v>
      </c>
      <c r="N12" s="16">
        <v>600</v>
      </c>
      <c r="O12" s="17">
        <f>0.65/1.2</f>
        <v>0.54166666666666674</v>
      </c>
      <c r="P12" s="17">
        <f t="shared" si="3"/>
        <v>325.00000000000006</v>
      </c>
      <c r="Q12" s="16">
        <v>600</v>
      </c>
      <c r="R12" s="17">
        <f>0.66/1.2</f>
        <v>0.55000000000000004</v>
      </c>
      <c r="S12" s="17">
        <f t="shared" si="4"/>
        <v>330</v>
      </c>
    </row>
    <row r="13" spans="1:19" s="3" customFormat="1" ht="15.75" customHeight="1" x14ac:dyDescent="0.25">
      <c r="A13" s="25">
        <v>8</v>
      </c>
      <c r="B13" s="16">
        <v>2021945</v>
      </c>
      <c r="C13" s="16" t="s">
        <v>25</v>
      </c>
      <c r="D13" s="16" t="s">
        <v>19</v>
      </c>
      <c r="E13" s="16">
        <v>5</v>
      </c>
      <c r="F13" s="17">
        <v>97.63</v>
      </c>
      <c r="G13" s="17">
        <f t="shared" si="0"/>
        <v>488.15</v>
      </c>
      <c r="H13" s="16">
        <v>5</v>
      </c>
      <c r="I13" s="17">
        <v>303.33999999999997</v>
      </c>
      <c r="J13" s="17">
        <f t="shared" si="1"/>
        <v>1516.6999999999998</v>
      </c>
      <c r="K13" s="16">
        <v>5</v>
      </c>
      <c r="L13" s="17">
        <v>97.63</v>
      </c>
      <c r="M13" s="17">
        <f t="shared" si="2"/>
        <v>488.15</v>
      </c>
      <c r="N13" s="16">
        <v>5</v>
      </c>
      <c r="O13" s="17">
        <f>119.46/1.2</f>
        <v>99.55</v>
      </c>
      <c r="P13" s="17">
        <f t="shared" si="3"/>
        <v>497.75</v>
      </c>
      <c r="Q13" s="16">
        <v>5</v>
      </c>
      <c r="R13" s="17">
        <f>120.67/1.2</f>
        <v>100.55833333333334</v>
      </c>
      <c r="S13" s="17">
        <f t="shared" si="4"/>
        <v>502.79166666666669</v>
      </c>
    </row>
    <row r="14" spans="1:19" s="3" customFormat="1" ht="15.75" customHeight="1" x14ac:dyDescent="0.25">
      <c r="A14" s="25">
        <v>9</v>
      </c>
      <c r="B14" s="16">
        <v>2012754</v>
      </c>
      <c r="C14" s="16" t="s">
        <v>26</v>
      </c>
      <c r="D14" s="16" t="s">
        <v>19</v>
      </c>
      <c r="E14" s="16">
        <v>226</v>
      </c>
      <c r="F14" s="17">
        <v>75.84</v>
      </c>
      <c r="G14" s="17">
        <f t="shared" si="0"/>
        <v>17139.84</v>
      </c>
      <c r="H14" s="16">
        <v>226</v>
      </c>
      <c r="I14" s="17">
        <v>111.28</v>
      </c>
      <c r="J14" s="17">
        <f t="shared" si="1"/>
        <v>25149.279999999999</v>
      </c>
      <c r="K14" s="16">
        <v>226</v>
      </c>
      <c r="L14" s="17">
        <v>75.84</v>
      </c>
      <c r="M14" s="17">
        <f t="shared" si="2"/>
        <v>17139.84</v>
      </c>
      <c r="N14" s="16">
        <v>226</v>
      </c>
      <c r="O14" s="17">
        <f>92.8/1.2</f>
        <v>77.333333333333329</v>
      </c>
      <c r="P14" s="17">
        <f t="shared" si="3"/>
        <v>17477.333333333332</v>
      </c>
      <c r="Q14" s="16">
        <v>226</v>
      </c>
      <c r="R14" s="17">
        <f>93.74/1.2</f>
        <v>78.11666666666666</v>
      </c>
      <c r="S14" s="17">
        <f t="shared" si="4"/>
        <v>17654.366666666665</v>
      </c>
    </row>
    <row r="15" spans="1:19" s="3" customFormat="1" ht="15.75" customHeight="1" x14ac:dyDescent="0.25">
      <c r="A15" s="25">
        <v>10</v>
      </c>
      <c r="B15" s="16">
        <v>2360169</v>
      </c>
      <c r="C15" s="16" t="s">
        <v>27</v>
      </c>
      <c r="D15" s="16" t="s">
        <v>19</v>
      </c>
      <c r="E15" s="16">
        <v>156</v>
      </c>
      <c r="F15" s="17">
        <v>125.43</v>
      </c>
      <c r="G15" s="17">
        <f t="shared" si="0"/>
        <v>19567.080000000002</v>
      </c>
      <c r="H15" s="16">
        <v>156</v>
      </c>
      <c r="I15" s="17" t="s">
        <v>29</v>
      </c>
      <c r="J15" s="17">
        <v>0</v>
      </c>
      <c r="K15" s="16">
        <v>156</v>
      </c>
      <c r="L15" s="17">
        <v>125.43</v>
      </c>
      <c r="M15" s="17">
        <f t="shared" si="2"/>
        <v>19567.080000000002</v>
      </c>
      <c r="N15" s="16">
        <v>156</v>
      </c>
      <c r="O15" s="17">
        <f>153.48/1.2</f>
        <v>127.89999999999999</v>
      </c>
      <c r="P15" s="17">
        <f t="shared" si="3"/>
        <v>19952.399999999998</v>
      </c>
      <c r="Q15" s="16">
        <v>156</v>
      </c>
      <c r="R15" s="17">
        <f>155.03/1.2</f>
        <v>129.19166666666666</v>
      </c>
      <c r="S15" s="17">
        <f t="shared" si="4"/>
        <v>20153.899999999998</v>
      </c>
    </row>
    <row r="16" spans="1:19" s="3" customFormat="1" ht="15.75" customHeight="1" x14ac:dyDescent="0.25">
      <c r="A16" s="25">
        <v>11</v>
      </c>
      <c r="B16" s="16">
        <v>2269968</v>
      </c>
      <c r="C16" s="16" t="s">
        <v>28</v>
      </c>
      <c r="D16" s="16" t="s">
        <v>7</v>
      </c>
      <c r="E16" s="16">
        <v>5160</v>
      </c>
      <c r="F16" s="17">
        <v>1.96</v>
      </c>
      <c r="G16" s="17">
        <f t="shared" si="0"/>
        <v>10113.6</v>
      </c>
      <c r="H16" s="16">
        <v>5160</v>
      </c>
      <c r="I16" s="17" t="s">
        <v>29</v>
      </c>
      <c r="J16" s="17">
        <v>0</v>
      </c>
      <c r="K16" s="16">
        <v>5160</v>
      </c>
      <c r="L16" s="17">
        <v>1.96</v>
      </c>
      <c r="M16" s="17">
        <f t="shared" si="2"/>
        <v>10113.6</v>
      </c>
      <c r="N16" s="16">
        <v>5160</v>
      </c>
      <c r="O16" s="17">
        <f>2.4/1.2</f>
        <v>2</v>
      </c>
      <c r="P16" s="17">
        <f t="shared" si="3"/>
        <v>10320</v>
      </c>
      <c r="Q16" s="16">
        <v>5160</v>
      </c>
      <c r="R16" s="17">
        <f>2.42/1.2</f>
        <v>2.0166666666666666</v>
      </c>
      <c r="S16" s="17">
        <f t="shared" si="4"/>
        <v>10406</v>
      </c>
    </row>
    <row r="17" spans="1:19" s="3" customFormat="1" ht="15.75" customHeight="1" x14ac:dyDescent="0.25">
      <c r="A17" s="25">
        <v>12</v>
      </c>
      <c r="B17" s="16" t="s">
        <v>29</v>
      </c>
      <c r="C17" s="16" t="s">
        <v>30</v>
      </c>
      <c r="D17" s="16" t="s">
        <v>7</v>
      </c>
      <c r="E17" s="16">
        <v>7885</v>
      </c>
      <c r="F17" s="17">
        <v>14.3</v>
      </c>
      <c r="G17" s="17">
        <f t="shared" si="0"/>
        <v>112755.5</v>
      </c>
      <c r="H17" s="16">
        <v>7885</v>
      </c>
      <c r="I17" s="17" t="s">
        <v>29</v>
      </c>
      <c r="J17" s="17">
        <v>0</v>
      </c>
      <c r="K17" s="16">
        <v>7885</v>
      </c>
      <c r="L17" s="17">
        <v>14.3</v>
      </c>
      <c r="M17" s="17">
        <f t="shared" si="2"/>
        <v>112755.5</v>
      </c>
      <c r="N17" s="16">
        <v>7885</v>
      </c>
      <c r="O17" s="17">
        <f>17.49/1.2</f>
        <v>14.574999999999999</v>
      </c>
      <c r="P17" s="17">
        <f t="shared" si="3"/>
        <v>114923.875</v>
      </c>
      <c r="Q17" s="16">
        <v>7885</v>
      </c>
      <c r="R17" s="17">
        <f>17.67/1.2</f>
        <v>14.725000000000001</v>
      </c>
      <c r="S17" s="17">
        <f t="shared" si="4"/>
        <v>116106.62500000001</v>
      </c>
    </row>
    <row r="18" spans="1:19" s="3" customFormat="1" ht="15.75" customHeight="1" x14ac:dyDescent="0.25">
      <c r="A18" s="25">
        <v>13</v>
      </c>
      <c r="B18" s="16" t="s">
        <v>29</v>
      </c>
      <c r="C18" s="16" t="s">
        <v>31</v>
      </c>
      <c r="D18" s="16" t="s">
        <v>7</v>
      </c>
      <c r="E18" s="16">
        <v>165</v>
      </c>
      <c r="F18" s="17">
        <v>6.58</v>
      </c>
      <c r="G18" s="17">
        <f t="shared" si="0"/>
        <v>1085.7</v>
      </c>
      <c r="H18" s="16">
        <v>165</v>
      </c>
      <c r="I18" s="17" t="s">
        <v>29</v>
      </c>
      <c r="J18" s="17">
        <v>0</v>
      </c>
      <c r="K18" s="16">
        <v>165</v>
      </c>
      <c r="L18" s="17">
        <v>6.58</v>
      </c>
      <c r="M18" s="17">
        <f t="shared" si="2"/>
        <v>1085.7</v>
      </c>
      <c r="N18" s="16">
        <v>165</v>
      </c>
      <c r="O18" s="17">
        <f>8.06/1.2</f>
        <v>6.7166666666666677</v>
      </c>
      <c r="P18" s="17">
        <f t="shared" si="3"/>
        <v>1108.2500000000002</v>
      </c>
      <c r="Q18" s="16">
        <v>165</v>
      </c>
      <c r="R18" s="17">
        <f>8.14/1.2</f>
        <v>6.7833333333333341</v>
      </c>
      <c r="S18" s="17">
        <f t="shared" si="4"/>
        <v>1119.2500000000002</v>
      </c>
    </row>
    <row r="19" spans="1:19" s="3" customFormat="1" ht="15.75" customHeight="1" x14ac:dyDescent="0.25">
      <c r="A19" s="25">
        <v>14</v>
      </c>
      <c r="B19" s="16">
        <v>2028025</v>
      </c>
      <c r="C19" s="16" t="s">
        <v>32</v>
      </c>
      <c r="D19" s="16" t="s">
        <v>7</v>
      </c>
      <c r="E19" s="16">
        <v>2</v>
      </c>
      <c r="F19" s="17">
        <v>7.81</v>
      </c>
      <c r="G19" s="17">
        <f t="shared" si="0"/>
        <v>15.62</v>
      </c>
      <c r="H19" s="16">
        <v>2</v>
      </c>
      <c r="I19" s="17">
        <v>25.77</v>
      </c>
      <c r="J19" s="17">
        <f t="shared" si="1"/>
        <v>51.54</v>
      </c>
      <c r="K19" s="16">
        <v>2</v>
      </c>
      <c r="L19" s="17">
        <v>7.81</v>
      </c>
      <c r="M19" s="17">
        <f t="shared" si="2"/>
        <v>15.62</v>
      </c>
      <c r="N19" s="16">
        <v>2</v>
      </c>
      <c r="O19" s="17">
        <f>24.33/1.2</f>
        <v>20.274999999999999</v>
      </c>
      <c r="P19" s="17">
        <f t="shared" si="3"/>
        <v>40.549999999999997</v>
      </c>
      <c r="Q19" s="16">
        <v>2</v>
      </c>
      <c r="R19" s="17">
        <f>24.58/1.2</f>
        <v>20.483333333333334</v>
      </c>
      <c r="S19" s="17">
        <f t="shared" si="4"/>
        <v>40.966666666666669</v>
      </c>
    </row>
    <row r="20" spans="1:19" s="3" customFormat="1" ht="15.75" customHeight="1" x14ac:dyDescent="0.25">
      <c r="A20" s="25">
        <v>15</v>
      </c>
      <c r="B20" s="16">
        <v>2055811</v>
      </c>
      <c r="C20" s="16" t="s">
        <v>33</v>
      </c>
      <c r="D20" s="16" t="s">
        <v>7</v>
      </c>
      <c r="E20" s="16">
        <v>14</v>
      </c>
      <c r="F20" s="17">
        <v>7.53</v>
      </c>
      <c r="G20" s="17">
        <f t="shared" si="0"/>
        <v>105.42</v>
      </c>
      <c r="H20" s="16">
        <v>14</v>
      </c>
      <c r="I20" s="17">
        <v>11.47</v>
      </c>
      <c r="J20" s="17">
        <f t="shared" si="1"/>
        <v>160.58000000000001</v>
      </c>
      <c r="K20" s="16">
        <v>14</v>
      </c>
      <c r="L20" s="17">
        <v>7.53</v>
      </c>
      <c r="M20" s="17">
        <f t="shared" si="2"/>
        <v>105.42</v>
      </c>
      <c r="N20" s="16">
        <v>14</v>
      </c>
      <c r="O20" s="17">
        <f>9.22/1.2</f>
        <v>7.6833333333333345</v>
      </c>
      <c r="P20" s="17">
        <f t="shared" si="3"/>
        <v>107.56666666666668</v>
      </c>
      <c r="Q20" s="16">
        <v>14</v>
      </c>
      <c r="R20" s="17">
        <f>9.31/1.2</f>
        <v>7.7583333333333337</v>
      </c>
      <c r="S20" s="17">
        <f t="shared" si="4"/>
        <v>108.61666666666667</v>
      </c>
    </row>
    <row r="21" spans="1:19" s="3" customFormat="1" ht="15.75" customHeight="1" x14ac:dyDescent="0.25">
      <c r="A21" s="25">
        <v>16</v>
      </c>
      <c r="B21" s="16">
        <v>2114923</v>
      </c>
      <c r="C21" s="16" t="s">
        <v>34</v>
      </c>
      <c r="D21" s="16" t="s">
        <v>7</v>
      </c>
      <c r="E21" s="16">
        <v>3677</v>
      </c>
      <c r="F21" s="17">
        <v>14.93</v>
      </c>
      <c r="G21" s="17">
        <f t="shared" si="0"/>
        <v>54897.61</v>
      </c>
      <c r="H21" s="16">
        <v>3677</v>
      </c>
      <c r="I21" s="17">
        <v>24.92</v>
      </c>
      <c r="J21" s="17">
        <f t="shared" si="1"/>
        <v>91630.840000000011</v>
      </c>
      <c r="K21" s="16">
        <v>3677</v>
      </c>
      <c r="L21" s="17">
        <v>14.93</v>
      </c>
      <c r="M21" s="17">
        <f t="shared" si="2"/>
        <v>54897.61</v>
      </c>
      <c r="N21" s="16">
        <v>3677</v>
      </c>
      <c r="O21" s="17">
        <f>18.27/1.2</f>
        <v>15.225</v>
      </c>
      <c r="P21" s="17">
        <f t="shared" si="3"/>
        <v>55982.324999999997</v>
      </c>
      <c r="Q21" s="16">
        <v>3677</v>
      </c>
      <c r="R21" s="17">
        <f>18.45/1.2</f>
        <v>15.375</v>
      </c>
      <c r="S21" s="17">
        <f t="shared" si="4"/>
        <v>56533.875</v>
      </c>
    </row>
    <row r="22" spans="1:19" s="3" customFormat="1" ht="15.75" customHeight="1" x14ac:dyDescent="0.25">
      <c r="A22" s="25">
        <v>17</v>
      </c>
      <c r="B22" s="16">
        <v>2117451</v>
      </c>
      <c r="C22" s="16" t="s">
        <v>35</v>
      </c>
      <c r="D22" s="16" t="s">
        <v>7</v>
      </c>
      <c r="E22" s="16">
        <v>12</v>
      </c>
      <c r="F22" s="17">
        <v>6.49</v>
      </c>
      <c r="G22" s="17">
        <f t="shared" si="0"/>
        <v>77.88</v>
      </c>
      <c r="H22" s="16">
        <v>12</v>
      </c>
      <c r="I22" s="17">
        <v>7.46</v>
      </c>
      <c r="J22" s="17">
        <f t="shared" si="1"/>
        <v>89.52</v>
      </c>
      <c r="K22" s="16">
        <v>12</v>
      </c>
      <c r="L22" s="17">
        <v>6.49</v>
      </c>
      <c r="M22" s="17">
        <f t="shared" si="2"/>
        <v>77.88</v>
      </c>
      <c r="N22" s="16">
        <v>12</v>
      </c>
      <c r="O22" s="17">
        <f>7.94/1.2</f>
        <v>6.6166666666666671</v>
      </c>
      <c r="P22" s="17">
        <f t="shared" si="3"/>
        <v>79.400000000000006</v>
      </c>
      <c r="Q22" s="16">
        <v>12</v>
      </c>
      <c r="R22" s="17">
        <f>8.02/1.2</f>
        <v>6.6833333333333336</v>
      </c>
      <c r="S22" s="17">
        <f t="shared" si="4"/>
        <v>80.2</v>
      </c>
    </row>
    <row r="23" spans="1:19" s="3" customFormat="1" ht="15.75" customHeight="1" x14ac:dyDescent="0.25">
      <c r="A23" s="25">
        <v>18</v>
      </c>
      <c r="B23" s="16">
        <v>2120623</v>
      </c>
      <c r="C23" s="16" t="s">
        <v>36</v>
      </c>
      <c r="D23" s="16" t="s">
        <v>7</v>
      </c>
      <c r="E23" s="16">
        <v>3822</v>
      </c>
      <c r="F23" s="17">
        <v>11.94</v>
      </c>
      <c r="G23" s="17">
        <f t="shared" si="0"/>
        <v>45634.68</v>
      </c>
      <c r="H23" s="16">
        <v>3822</v>
      </c>
      <c r="I23" s="17">
        <v>17.18</v>
      </c>
      <c r="J23" s="17">
        <f t="shared" si="1"/>
        <v>65661.959999999992</v>
      </c>
      <c r="K23" s="16">
        <v>3822</v>
      </c>
      <c r="L23" s="17">
        <v>11.94</v>
      </c>
      <c r="M23" s="17">
        <f t="shared" si="2"/>
        <v>45634.68</v>
      </c>
      <c r="N23" s="16">
        <v>3822</v>
      </c>
      <c r="O23" s="17">
        <f>14.61/1.2</f>
        <v>12.175000000000001</v>
      </c>
      <c r="P23" s="17">
        <f t="shared" si="3"/>
        <v>46532.850000000006</v>
      </c>
      <c r="Q23" s="16">
        <v>3822</v>
      </c>
      <c r="R23" s="17">
        <f>14.76/1.2</f>
        <v>12.3</v>
      </c>
      <c r="S23" s="17">
        <f t="shared" si="4"/>
        <v>47010.600000000006</v>
      </c>
    </row>
    <row r="24" spans="1:19" s="3" customFormat="1" ht="15.75" customHeight="1" x14ac:dyDescent="0.25">
      <c r="A24" s="25">
        <v>19</v>
      </c>
      <c r="B24" s="16">
        <v>2217891</v>
      </c>
      <c r="C24" s="16" t="s">
        <v>37</v>
      </c>
      <c r="D24" s="16" t="s">
        <v>38</v>
      </c>
      <c r="E24" s="16">
        <v>200</v>
      </c>
      <c r="F24" s="17">
        <v>3.79</v>
      </c>
      <c r="G24" s="17">
        <f t="shared" si="0"/>
        <v>758</v>
      </c>
      <c r="H24" s="16">
        <v>200</v>
      </c>
      <c r="I24" s="17">
        <v>6.96</v>
      </c>
      <c r="J24" s="17">
        <f t="shared" si="1"/>
        <v>1392</v>
      </c>
      <c r="K24" s="16">
        <v>200</v>
      </c>
      <c r="L24" s="17">
        <v>3.79</v>
      </c>
      <c r="M24" s="17">
        <f t="shared" si="2"/>
        <v>758</v>
      </c>
      <c r="N24" s="16">
        <v>200</v>
      </c>
      <c r="O24" s="17">
        <f>4.64/1.2</f>
        <v>3.8666666666666667</v>
      </c>
      <c r="P24" s="17">
        <f t="shared" si="3"/>
        <v>773.33333333333337</v>
      </c>
      <c r="Q24" s="16">
        <v>200</v>
      </c>
      <c r="R24" s="17">
        <f>4.69/1.2</f>
        <v>3.9083333333333337</v>
      </c>
      <c r="S24" s="17">
        <f t="shared" si="4"/>
        <v>781.66666666666674</v>
      </c>
    </row>
    <row r="25" spans="1:19" s="3" customFormat="1" ht="15.75" customHeight="1" x14ac:dyDescent="0.25">
      <c r="A25" s="25">
        <v>20</v>
      </c>
      <c r="B25" s="16">
        <v>2268826</v>
      </c>
      <c r="C25" s="16" t="s">
        <v>39</v>
      </c>
      <c r="D25" s="16" t="s">
        <v>7</v>
      </c>
      <c r="E25" s="16">
        <v>84</v>
      </c>
      <c r="F25" s="17">
        <v>22.03</v>
      </c>
      <c r="G25" s="17">
        <f t="shared" si="0"/>
        <v>1850.52</v>
      </c>
      <c r="H25" s="16">
        <v>84</v>
      </c>
      <c r="I25" s="17" t="s">
        <v>29</v>
      </c>
      <c r="J25" s="17">
        <v>0</v>
      </c>
      <c r="K25" s="16">
        <v>84</v>
      </c>
      <c r="L25" s="17">
        <v>22.03</v>
      </c>
      <c r="M25" s="17">
        <f t="shared" si="2"/>
        <v>1850.52</v>
      </c>
      <c r="N25" s="16">
        <v>84</v>
      </c>
      <c r="O25" s="17">
        <f>26.95/1.2</f>
        <v>22.458333333333332</v>
      </c>
      <c r="P25" s="17">
        <f t="shared" si="3"/>
        <v>1886.5</v>
      </c>
      <c r="Q25" s="16">
        <v>84</v>
      </c>
      <c r="R25" s="17">
        <f>27.22/1.2</f>
        <v>22.683333333333334</v>
      </c>
      <c r="S25" s="17">
        <f t="shared" si="4"/>
        <v>1905.4</v>
      </c>
    </row>
    <row r="26" spans="1:19" s="3" customFormat="1" ht="15.75" customHeight="1" x14ac:dyDescent="0.25">
      <c r="A26" s="25">
        <v>21</v>
      </c>
      <c r="B26" s="16">
        <v>2277073</v>
      </c>
      <c r="C26" s="16" t="s">
        <v>40</v>
      </c>
      <c r="D26" s="16" t="s">
        <v>7</v>
      </c>
      <c r="E26" s="16">
        <v>14</v>
      </c>
      <c r="F26" s="17">
        <v>277.7</v>
      </c>
      <c r="G26" s="17">
        <f t="shared" si="0"/>
        <v>3887.7999999999997</v>
      </c>
      <c r="H26" s="16">
        <v>14</v>
      </c>
      <c r="I26" s="17" t="s">
        <v>29</v>
      </c>
      <c r="J26" s="17">
        <v>0</v>
      </c>
      <c r="K26" s="16">
        <v>14</v>
      </c>
      <c r="L26" s="17">
        <v>277.7</v>
      </c>
      <c r="M26" s="17">
        <f t="shared" si="2"/>
        <v>3887.7999999999997</v>
      </c>
      <c r="N26" s="16">
        <v>14</v>
      </c>
      <c r="O26" s="17">
        <f>339.81/1.2</f>
        <v>283.17500000000001</v>
      </c>
      <c r="P26" s="17">
        <f t="shared" si="3"/>
        <v>3964.4500000000003</v>
      </c>
      <c r="Q26" s="16">
        <v>14</v>
      </c>
      <c r="R26" s="17">
        <f>343.24/1.2</f>
        <v>286.03333333333336</v>
      </c>
      <c r="S26" s="17">
        <f t="shared" si="4"/>
        <v>4004.4666666666672</v>
      </c>
    </row>
    <row r="27" spans="1:19" s="3" customFormat="1" ht="15.75" customHeight="1" x14ac:dyDescent="0.25">
      <c r="A27" s="25">
        <v>22</v>
      </c>
      <c r="B27" s="16">
        <v>2279021</v>
      </c>
      <c r="C27" s="16" t="s">
        <v>41</v>
      </c>
      <c r="D27" s="16" t="s">
        <v>7</v>
      </c>
      <c r="E27" s="16">
        <v>27</v>
      </c>
      <c r="F27" s="17">
        <v>279.02999999999997</v>
      </c>
      <c r="G27" s="17">
        <f t="shared" si="0"/>
        <v>7533.8099999999995</v>
      </c>
      <c r="H27" s="16">
        <v>27</v>
      </c>
      <c r="I27" s="17" t="s">
        <v>29</v>
      </c>
      <c r="J27" s="17">
        <v>0</v>
      </c>
      <c r="K27" s="16">
        <v>27</v>
      </c>
      <c r="L27" s="17">
        <v>279.02999999999997</v>
      </c>
      <c r="M27" s="17">
        <f t="shared" si="2"/>
        <v>7533.8099999999995</v>
      </c>
      <c r="N27" s="16">
        <v>27</v>
      </c>
      <c r="O27" s="17">
        <f>341.42/1.2</f>
        <v>284.51666666666671</v>
      </c>
      <c r="P27" s="17">
        <f t="shared" si="3"/>
        <v>7681.9500000000007</v>
      </c>
      <c r="Q27" s="16">
        <v>27</v>
      </c>
      <c r="R27" s="17">
        <f>344.87/1.2</f>
        <v>287.39166666666671</v>
      </c>
      <c r="S27" s="17">
        <f t="shared" si="4"/>
        <v>7759.5750000000007</v>
      </c>
    </row>
    <row r="28" spans="1:19" s="3" customFormat="1" ht="15.75" customHeight="1" x14ac:dyDescent="0.25">
      <c r="A28" s="25">
        <v>23</v>
      </c>
      <c r="B28" s="16">
        <v>2282180</v>
      </c>
      <c r="C28" s="16" t="s">
        <v>42</v>
      </c>
      <c r="D28" s="16" t="s">
        <v>7</v>
      </c>
      <c r="E28" s="16">
        <v>10</v>
      </c>
      <c r="F28" s="17">
        <v>7.72</v>
      </c>
      <c r="G28" s="17">
        <f t="shared" si="0"/>
        <v>77.2</v>
      </c>
      <c r="H28" s="16">
        <v>10</v>
      </c>
      <c r="I28" s="17" t="s">
        <v>29</v>
      </c>
      <c r="J28" s="17">
        <v>0</v>
      </c>
      <c r="K28" s="16">
        <v>10</v>
      </c>
      <c r="L28" s="17">
        <v>7.72</v>
      </c>
      <c r="M28" s="17">
        <f t="shared" si="2"/>
        <v>77.2</v>
      </c>
      <c r="N28" s="16">
        <v>10</v>
      </c>
      <c r="O28" s="17">
        <f>9.44/1.2</f>
        <v>7.8666666666666663</v>
      </c>
      <c r="P28" s="17">
        <f t="shared" si="3"/>
        <v>78.666666666666657</v>
      </c>
      <c r="Q28" s="16">
        <v>10</v>
      </c>
      <c r="R28" s="17">
        <f>9.54/1.2</f>
        <v>7.9499999999999993</v>
      </c>
      <c r="S28" s="17">
        <f t="shared" si="4"/>
        <v>79.5</v>
      </c>
    </row>
    <row r="29" spans="1:19" s="3" customFormat="1" ht="15.75" customHeight="1" x14ac:dyDescent="0.25">
      <c r="A29" s="25">
        <v>24</v>
      </c>
      <c r="B29" s="16">
        <v>2349530</v>
      </c>
      <c r="C29" s="16" t="s">
        <v>43</v>
      </c>
      <c r="D29" s="16" t="s">
        <v>7</v>
      </c>
      <c r="E29" s="16">
        <v>102</v>
      </c>
      <c r="F29" s="17">
        <v>198.28</v>
      </c>
      <c r="G29" s="17">
        <f t="shared" si="0"/>
        <v>20224.560000000001</v>
      </c>
      <c r="H29" s="16">
        <v>102</v>
      </c>
      <c r="I29" s="17" t="s">
        <v>29</v>
      </c>
      <c r="J29" s="17">
        <v>0</v>
      </c>
      <c r="K29" s="16">
        <v>102</v>
      </c>
      <c r="L29" s="17">
        <v>198.28</v>
      </c>
      <c r="M29" s="17">
        <f t="shared" si="2"/>
        <v>20224.560000000001</v>
      </c>
      <c r="N29" s="16">
        <v>102</v>
      </c>
      <c r="O29" s="17">
        <f>242.62/1.2</f>
        <v>202.18333333333334</v>
      </c>
      <c r="P29" s="17">
        <f t="shared" si="3"/>
        <v>20622.7</v>
      </c>
      <c r="Q29" s="16">
        <v>102</v>
      </c>
      <c r="R29" s="17">
        <f>245.07/1.2</f>
        <v>204.22499999999999</v>
      </c>
      <c r="S29" s="17">
        <f t="shared" si="4"/>
        <v>20830.95</v>
      </c>
    </row>
    <row r="30" spans="1:19" s="3" customFormat="1" ht="15.75" customHeight="1" x14ac:dyDescent="0.25">
      <c r="A30" s="25">
        <v>25</v>
      </c>
      <c r="B30" s="16">
        <v>2358562</v>
      </c>
      <c r="C30" s="24" t="s">
        <v>44</v>
      </c>
      <c r="D30" s="16" t="s">
        <v>7</v>
      </c>
      <c r="E30" s="16">
        <v>48</v>
      </c>
      <c r="F30" s="17">
        <v>7</v>
      </c>
      <c r="G30" s="17">
        <f t="shared" si="0"/>
        <v>336</v>
      </c>
      <c r="H30" s="16">
        <v>48</v>
      </c>
      <c r="I30" s="17" t="s">
        <v>29</v>
      </c>
      <c r="J30" s="17">
        <v>0</v>
      </c>
      <c r="K30" s="16">
        <v>48</v>
      </c>
      <c r="L30" s="17">
        <v>7</v>
      </c>
      <c r="M30" s="17">
        <f t="shared" si="2"/>
        <v>336</v>
      </c>
      <c r="N30" s="16">
        <v>48</v>
      </c>
      <c r="O30" s="17">
        <f>8.56/1.2</f>
        <v>7.1333333333333337</v>
      </c>
      <c r="P30" s="17">
        <f t="shared" si="3"/>
        <v>342.40000000000003</v>
      </c>
      <c r="Q30" s="16">
        <v>48</v>
      </c>
      <c r="R30" s="17">
        <f>8.65/1.2</f>
        <v>7.2083333333333339</v>
      </c>
      <c r="S30" s="17">
        <f t="shared" si="4"/>
        <v>346</v>
      </c>
    </row>
    <row r="31" spans="1:19" s="9" customFormat="1" ht="14.25" x14ac:dyDescent="0.25">
      <c r="A31" s="29" t="s">
        <v>10</v>
      </c>
      <c r="B31" s="29"/>
      <c r="C31" s="29"/>
      <c r="D31" s="7"/>
      <c r="E31" s="18"/>
      <c r="F31" s="21"/>
      <c r="G31" s="21">
        <f>SUM(G6:G30)</f>
        <v>423456.10999999993</v>
      </c>
      <c r="H31" s="19"/>
      <c r="I31" s="19"/>
      <c r="J31" s="22">
        <f>SUM(J6:J30)</f>
        <v>195017.97000000003</v>
      </c>
      <c r="K31" s="19"/>
      <c r="L31" s="19"/>
      <c r="M31" s="22">
        <f>SUM(M6:M30)</f>
        <v>423456.10999999993</v>
      </c>
      <c r="N31" s="19"/>
      <c r="O31" s="19"/>
      <c r="P31" s="22">
        <f>SUM(P6:P30)</f>
        <v>431775.97500000003</v>
      </c>
      <c r="Q31" s="19"/>
      <c r="R31" s="19"/>
      <c r="S31" s="22">
        <f>SUM(S6:S30)</f>
        <v>436135.25000000006</v>
      </c>
    </row>
    <row r="32" spans="1:19" s="11" customFormat="1" x14ac:dyDescent="0.25">
      <c r="A32" s="29" t="s">
        <v>11</v>
      </c>
      <c r="B32" s="29"/>
      <c r="C32" s="29"/>
      <c r="D32" s="10"/>
      <c r="E32" s="18"/>
      <c r="F32" s="21"/>
      <c r="G32" s="21">
        <f>G33-G31</f>
        <v>84691.221999999951</v>
      </c>
      <c r="H32" s="8"/>
      <c r="I32" s="8"/>
      <c r="J32" s="21">
        <f>J33-J31</f>
        <v>39003.594000000012</v>
      </c>
      <c r="K32" s="18"/>
      <c r="L32" s="18"/>
      <c r="M32" s="18">
        <f>M33-M31</f>
        <v>84691.221999999951</v>
      </c>
      <c r="N32" s="18"/>
      <c r="O32" s="18"/>
      <c r="P32" s="20">
        <v>90373.85</v>
      </c>
      <c r="Q32" s="18"/>
      <c r="R32" s="18"/>
      <c r="S32" s="20">
        <f>S33-S31</f>
        <v>87227.049999999988</v>
      </c>
    </row>
    <row r="33" spans="1:19" s="11" customFormat="1" x14ac:dyDescent="0.25">
      <c r="A33" s="29" t="s">
        <v>3</v>
      </c>
      <c r="B33" s="29"/>
      <c r="C33" s="29"/>
      <c r="D33" s="14"/>
      <c r="E33" s="18"/>
      <c r="F33" s="21"/>
      <c r="G33" s="21">
        <f>G31*1.2</f>
        <v>508147.33199999988</v>
      </c>
      <c r="H33" s="13"/>
      <c r="I33" s="13"/>
      <c r="J33" s="21">
        <f>J31*1.2</f>
        <v>234021.56400000004</v>
      </c>
      <c r="K33" s="18"/>
      <c r="L33" s="18"/>
      <c r="M33" s="18">
        <f>M31*1.2</f>
        <v>508147.33199999988</v>
      </c>
      <c r="N33" s="18"/>
      <c r="O33" s="18"/>
      <c r="P33" s="22">
        <f>P31*1.2</f>
        <v>518131.17000000004</v>
      </c>
      <c r="Q33" s="18"/>
      <c r="R33" s="18"/>
      <c r="S33" s="22">
        <f>S31*1.2</f>
        <v>523362.30000000005</v>
      </c>
    </row>
  </sheetData>
  <mergeCells count="13">
    <mergeCell ref="A2:S2"/>
    <mergeCell ref="C4:C5"/>
    <mergeCell ref="B4:B5"/>
    <mergeCell ref="A4:A5"/>
    <mergeCell ref="A31:C31"/>
    <mergeCell ref="A33:C33"/>
    <mergeCell ref="A32:C32"/>
    <mergeCell ref="Q4:S4"/>
    <mergeCell ref="N4:P4"/>
    <mergeCell ref="H4:J4"/>
    <mergeCell ref="E4:G4"/>
    <mergeCell ref="D4:D5"/>
    <mergeCell ref="K4:M4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2022-02-11T06:54:30Z</dcterms:modified>
</cp:coreProperties>
</file>